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630" tabRatio="869" activeTab="2"/>
  </bookViews>
  <sheets>
    <sheet name="handleiding" sheetId="1" r:id="rId1"/>
    <sheet name="1. omzetberekening" sheetId="2" r:id="rId2"/>
    <sheet name="2. exploitatiebegroting" sheetId="3" r:id="rId3"/>
    <sheet name="3. liquiditeitsbegroting" sheetId="4" r:id="rId4"/>
    <sheet name="4. gemiddelde prijzen" sheetId="5" r:id="rId5"/>
  </sheets>
  <definedNames/>
  <calcPr fullCalcOnLoad="1"/>
</workbook>
</file>

<file path=xl/comments2.xml><?xml version="1.0" encoding="utf-8"?>
<comments xmlns="http://schemas.openxmlformats.org/spreadsheetml/2006/main">
  <authors>
    <author>Jaap Baalbergen</author>
  </authors>
  <commentList>
    <comment ref="A10" authorId="0">
      <text>
        <r>
          <rPr>
            <sz val="8"/>
            <rFont val="Tahoma"/>
            <family val="0"/>
          </rPr>
          <t>o.a. Hemelvaart, Frohleichname, Pinksteren.</t>
        </r>
      </text>
    </comment>
  </commentList>
</comments>
</file>

<file path=xl/comments3.xml><?xml version="1.0" encoding="utf-8"?>
<comments xmlns="http://schemas.openxmlformats.org/spreadsheetml/2006/main">
  <authors>
    <author>Jaap Baalbergen</author>
  </authors>
  <commentList>
    <comment ref="A5" authorId="0">
      <text>
        <r>
          <rPr>
            <sz val="8"/>
            <rFont val="Tahoma"/>
            <family val="2"/>
          </rPr>
          <t xml:space="preserve"> tot 500.000,- betaald men 1150,- tot 1350,- aan notariskosten voor overdrachtsakte  en hypotheekakte.</t>
        </r>
      </text>
    </comment>
    <comment ref="A13" authorId="0">
      <text>
        <r>
          <rPr>
            <sz val="8"/>
            <rFont val="Tahoma"/>
            <family val="0"/>
          </rPr>
          <t>Iin deze exploitatiebegroting is uitgegaan van gemiddelden uit de chartervaart, waar nodig kunnen deze aangepast worden.</t>
        </r>
      </text>
    </comment>
    <comment ref="A18" authorId="0">
      <text>
        <r>
          <rPr>
            <sz val="8"/>
            <rFont val="Tahoma"/>
            <family val="0"/>
          </rPr>
          <t xml:space="preserve">volgens een richtlijn van de belastingdienst mag er van de aanschafwaarde 5% per jaar afgeschreven worden tot 50% van de restwaarde. 
</t>
        </r>
      </text>
    </comment>
    <comment ref="D39" authorId="0">
      <text>
        <r>
          <rPr>
            <sz val="8"/>
            <rFont val="Tahoma"/>
            <family val="2"/>
          </rPr>
          <t>Door de Kleine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2"/>
          </rPr>
          <t>Ondernemers Regeling (KOR) m.b.t. de BTW valt de winst vaak plm. 1200,-  hoger uit.</t>
        </r>
      </text>
    </comment>
    <comment ref="A10" authorId="0">
      <text>
        <r>
          <rPr>
            <sz val="8"/>
            <rFont val="Tahoma"/>
            <family val="0"/>
          </rPr>
          <t xml:space="preserve">Als vuistregel geldt dat een bank of financierder ongeveer 60% van het benodigde kapitaal wil financieren.
</t>
        </r>
      </text>
    </comment>
    <comment ref="A22" authorId="0">
      <text>
        <r>
          <rPr>
            <sz val="8"/>
            <rFont val="Tahoma"/>
            <family val="0"/>
          </rPr>
          <t>De bruot loonkosten voor een matroos zijn ca 1500,- p/maand</t>
        </r>
      </text>
    </comment>
    <comment ref="A23" authorId="0">
      <text>
        <r>
          <rPr>
            <sz val="8"/>
            <rFont val="Tahoma"/>
            <family val="0"/>
          </rPr>
          <t xml:space="preserve">De bruto loonkosten voor een zetschipper zijn ca 3000,- p/maand
</t>
        </r>
      </text>
    </comment>
  </commentList>
</comments>
</file>

<file path=xl/comments4.xml><?xml version="1.0" encoding="utf-8"?>
<comments xmlns="http://schemas.openxmlformats.org/spreadsheetml/2006/main">
  <authors>
    <author>Jaap Baalbergen</author>
  </authors>
  <commentList>
    <comment ref="A7" authorId="0">
      <text>
        <r>
          <rPr>
            <sz val="8"/>
            <rFont val="Tahoma"/>
            <family val="0"/>
          </rPr>
          <t>Vaak wordt het eigen vermogen ook gefinancieerd. In deze berekening is de rentebetaling op deze leningen niet meegenomen.</t>
        </r>
      </text>
    </comment>
    <comment ref="A11" authorId="0">
      <text>
        <r>
          <rPr>
            <sz val="8"/>
            <rFont val="Tahoma"/>
            <family val="0"/>
          </rPr>
          <t xml:space="preserve"> Het bedrag aan afschrijvingen dient te worden gereserveerd als vervangingsreserve, en wordt in deze berekening niet gerekend als cashflow.
</t>
        </r>
      </text>
    </comment>
    <comment ref="A12" authorId="0">
      <text>
        <r>
          <rPr>
            <sz val="8"/>
            <rFont val="Tahoma"/>
            <family val="0"/>
          </rPr>
          <t xml:space="preserve">Dit is de som van de te verwachten verhuurprijsverhoging minus de kostenstijging per jaar.  </t>
        </r>
      </text>
    </comment>
    <comment ref="A21" authorId="0">
      <text>
        <r>
          <rPr>
            <sz val="8"/>
            <rFont val="Tahoma"/>
            <family val="0"/>
          </rPr>
          <t xml:space="preserve">Als er met een zetschipper gevaren wordt kan hier de ondernemersfee ingevuld worden. 
</t>
        </r>
      </text>
    </comment>
    <comment ref="A26" authorId="0">
      <text>
        <r>
          <rPr>
            <sz val="8"/>
            <rFont val="Tahoma"/>
            <family val="0"/>
          </rPr>
          <t xml:space="preserve">dit percentage moet minimaal hoger zijn dan de bankrente.
</t>
        </r>
      </text>
    </comment>
    <comment ref="A24" authorId="0">
      <text>
        <r>
          <rPr>
            <sz val="8"/>
            <rFont val="Tahoma"/>
            <family val="0"/>
          </rPr>
          <t xml:space="preserve">in deze liquiditeitsbegroting wordt geen geld gereserveerd voor extra investeringen voor bijvoorbeeld de binnenschepenwet.
</t>
        </r>
      </text>
    </comment>
  </commentList>
</comments>
</file>

<file path=xl/sharedStrings.xml><?xml version="1.0" encoding="utf-8"?>
<sst xmlns="http://schemas.openxmlformats.org/spreadsheetml/2006/main" count="152" uniqueCount="121">
  <si>
    <t>%</t>
  </si>
  <si>
    <t>jaar</t>
  </si>
  <si>
    <t xml:space="preserve">jaar </t>
  </si>
  <si>
    <t xml:space="preserve">te financieren </t>
  </si>
  <si>
    <t>provisie/werving</t>
  </si>
  <si>
    <t>gas, elektra, water</t>
  </si>
  <si>
    <t>brandstof, vet, olie</t>
  </si>
  <si>
    <t>administr. en accountant</t>
  </si>
  <si>
    <t>diversen</t>
  </si>
  <si>
    <t>KOSTEN totaal</t>
  </si>
  <si>
    <t>cashflow uit resultaat</t>
  </si>
  <si>
    <t>aflossingsverplichting</t>
  </si>
  <si>
    <t>opbrengsten</t>
  </si>
  <si>
    <t>opbrengst catering</t>
  </si>
  <si>
    <t xml:space="preserve">overige opbrengsten </t>
  </si>
  <si>
    <t>opbrengst verhuur schip</t>
  </si>
  <si>
    <t>onderhoud/ kleine materialen</t>
  </si>
  <si>
    <t>havengeld &amp; toeristenbelasting</t>
  </si>
  <si>
    <t>was, schoonmaak ed</t>
  </si>
  <si>
    <t>aankoop schip</t>
  </si>
  <si>
    <t>p/m</t>
  </si>
  <si>
    <t>inkoop catering</t>
  </si>
  <si>
    <t xml:space="preserve">investeringsbegroting </t>
  </si>
  <si>
    <t>vreemd vermogen</t>
  </si>
  <si>
    <t>eigen vermogen</t>
  </si>
  <si>
    <t>rente vreemd vermogen</t>
  </si>
  <si>
    <t>totaal opbrengsten</t>
  </si>
  <si>
    <t>OPBRENGST totaal</t>
  </si>
  <si>
    <t>taxatierapport</t>
  </si>
  <si>
    <t>Totaal te financieren</t>
  </si>
  <si>
    <t>rendement op eigen geld</t>
  </si>
  <si>
    <t>liquiditeitsbegroting</t>
  </si>
  <si>
    <t>winst voor rentebetaling</t>
  </si>
  <si>
    <t>winst na rentebetaling</t>
  </si>
  <si>
    <t>aankoopprijs schip incl. goodwill</t>
  </si>
  <si>
    <t>gemiddelde prijs p/p/p/d</t>
  </si>
  <si>
    <t>t/m 12 personen</t>
  </si>
  <si>
    <t>12 t/m 18 personen</t>
  </si>
  <si>
    <t>19 t/m 24 personen</t>
  </si>
  <si>
    <t>25 t/m 30 personen</t>
  </si>
  <si>
    <t>30 t/m 40 personen</t>
  </si>
  <si>
    <t>gemiddelde weekprijs</t>
  </si>
  <si>
    <t>gemiddelde midweekprijs</t>
  </si>
  <si>
    <t>gemiddelde schoolprijs</t>
  </si>
  <si>
    <t>gemiddelde weekendprijs</t>
  </si>
  <si>
    <t>aantal volle weken</t>
  </si>
  <si>
    <t>aantal midweken</t>
  </si>
  <si>
    <t>aantal schoolweken</t>
  </si>
  <si>
    <t>aantal weekenden</t>
  </si>
  <si>
    <t>omzetberekening charterschip</t>
  </si>
  <si>
    <t>afschrijving aankoopkosten</t>
  </si>
  <si>
    <t>Keuringen/vergunningen</t>
  </si>
  <si>
    <t>onderhoud gereedschappen</t>
  </si>
  <si>
    <t>telefoon/internet</t>
  </si>
  <si>
    <t>aankoopkosten</t>
  </si>
  <si>
    <t>aantal lange weekenden</t>
  </si>
  <si>
    <t>gemiddelde lang weekendprijs</t>
  </si>
  <si>
    <t>verzekeringen(schip/overige)</t>
  </si>
  <si>
    <t>gebruiksaanwijzing exploitatie- en liquiditeitsbegroting</t>
  </si>
  <si>
    <t>Met de uitkomsten van dit rekenprogramma kunnen de volgende zaken inzichtelijk gemaakt worden:</t>
  </si>
  <si>
    <t>bruto loonkosten matroos</t>
  </si>
  <si>
    <t>bruto loonkosten zetschipper</t>
  </si>
  <si>
    <t>vervoerskosten</t>
  </si>
  <si>
    <t>prive gebruik (forfetair bedrag)</t>
  </si>
  <si>
    <t>kantoor/porto/abonnementen/contributie</t>
  </si>
  <si>
    <t xml:space="preserve">Dit programma is samengesteld door de BBZ, accountantskantoor Haarman en Scheepsmakelaardij Enkhuizen. </t>
  </si>
  <si>
    <t>gemiddelden zeilende zeevaart 2004 (incl. BTW)</t>
  </si>
  <si>
    <t>8 t/m 18 personen</t>
  </si>
  <si>
    <t>20 t/m 24 personen</t>
  </si>
  <si>
    <t>24 t/m 36 personen</t>
  </si>
  <si>
    <t>gemiddelden in de chartervaart</t>
  </si>
  <si>
    <t>gemiddelden motorchartervaart 2004 (incl. BTW)</t>
  </si>
  <si>
    <t xml:space="preserve">In de motorchartervaart is er onderscheidt tussen verhuur zonder en verhuur incl. verzorging.  </t>
  </si>
  <si>
    <t>looptijd lening vreemd vermogen</t>
  </si>
  <si>
    <t>advies &amp; begeleiding</t>
  </si>
  <si>
    <t xml:space="preserve">kosten </t>
  </si>
  <si>
    <t>gemiddelden zeilende binnenvaart - hotelschepen 2004 (incl. BTW)</t>
  </si>
  <si>
    <t>gemiddelden zeilende binnenvaart - dagtochtenschepen 2004 (incl. BTW)</t>
  </si>
  <si>
    <t>gemiddelde weekprijs bij 50 passagiers</t>
  </si>
  <si>
    <t>gemiddelde prijs excl. verzorging</t>
  </si>
  <si>
    <t>gemiddelde weekprijs bij 25 kooien</t>
  </si>
  <si>
    <t xml:space="preserve">gemiddelde prijs p/p/p/d </t>
  </si>
  <si>
    <t>gemiddelde prijs incl. verzorging</t>
  </si>
  <si>
    <t>gemiddelde weekprijs bij 19 kooien</t>
  </si>
  <si>
    <t>Exploitatie en liquiditeitsbegroting voor starters</t>
  </si>
  <si>
    <t xml:space="preserve">Ondanks de zorgvuldige samenstelling kunnen de samenstellers niet aansprakelijk gesteld worden </t>
  </si>
  <si>
    <t>voor de inhoud van dit programma.</t>
  </si>
  <si>
    <t xml:space="preserve">zal het programma automatisch een exploitatie- en liquiditeitsbegroting van uw situatie geven. </t>
  </si>
  <si>
    <t>Verdere opmerkingen</t>
  </si>
  <si>
    <t xml:space="preserve">die gebruikt kan worden in een ondernemingsplan. Dit programma is onderdeel van de brochure "Van wal steken".  </t>
  </si>
  <si>
    <t xml:space="preserve">onderstaande cijfers komen uit de schependatabank van de BBZ, waarin alle charterschepen </t>
  </si>
  <si>
    <t xml:space="preserve">onder Nederlandse vlag staan vermeld met de verhuurprijs. </t>
  </si>
  <si>
    <t xml:space="preserve">Door de drie werkbladen van dit rekenprogramma door te lopen en de witte velden in te vullen met uw gegevens, </t>
  </si>
  <si>
    <t>1. Via de omzetberekening de te verwachten omzet uit verhuur en catering.</t>
  </si>
  <si>
    <t xml:space="preserve">2. Via de exploitatiebegroting het resultaat uit de onderneming na betaling van de kosten. </t>
  </si>
  <si>
    <t xml:space="preserve">Als toevoeging is in werkblad 4 is een overzicht gemaakt van de gemiddelde verhuurprijzen. </t>
  </si>
  <si>
    <t>naar gemiddelde weekprijs (incl. BTW)</t>
  </si>
  <si>
    <t>gemiddelde dagprijs</t>
  </si>
  <si>
    <t>aantal dagtochten</t>
  </si>
  <si>
    <t xml:space="preserve">opbrengst catering incl. BTW </t>
  </si>
  <si>
    <t>omzet incl. BTW</t>
  </si>
  <si>
    <t>omzet excl. BTW</t>
  </si>
  <si>
    <t xml:space="preserve">totaal verhuur </t>
  </si>
  <si>
    <t>kosten notaris</t>
  </si>
  <si>
    <t xml:space="preserve">exploitatiebegroting </t>
  </si>
  <si>
    <r>
      <t>alle genoemde bedragen zijn</t>
    </r>
    <r>
      <rPr>
        <i/>
        <u val="single"/>
        <sz val="10"/>
        <rFont val="Arial"/>
        <family val="2"/>
      </rPr>
      <t xml:space="preserve"> exclusief </t>
    </r>
    <r>
      <rPr>
        <i/>
        <sz val="10"/>
        <rFont val="Arial"/>
        <family val="2"/>
      </rPr>
      <t>BTW</t>
    </r>
  </si>
  <si>
    <t>afschrijving schip</t>
  </si>
  <si>
    <t xml:space="preserve">resultaat voor rentebetaling en voor belasting </t>
  </si>
  <si>
    <t>aantal vaardagen</t>
  </si>
  <si>
    <t>naam schip</t>
  </si>
  <si>
    <t>totaal afschrijvingen per jaar</t>
  </si>
  <si>
    <t xml:space="preserve">eigen vermogen </t>
  </si>
  <si>
    <t xml:space="preserve">winststijging per jaar </t>
  </si>
  <si>
    <t xml:space="preserve">Hierbij ontvangt u een hulpprogramma voor een exploitatie- en liquiditeitsbegroting, </t>
  </si>
  <si>
    <t xml:space="preserve">3. Via de liquiditeitsbegroting of er genoeg geld is om aan de (aflossings)verplichtingen te voldoen. </t>
  </si>
  <si>
    <t>Bij sommige velden is een rood hoekje zichtbaar, door met de cursor op dit veld te gaan staan verschijnt een opmerking.</t>
  </si>
  <si>
    <t xml:space="preserve">vergoeding ondernemer </t>
  </si>
  <si>
    <t xml:space="preserve">cashflow na aflossing </t>
  </si>
  <si>
    <t xml:space="preserve">rendement op investering </t>
  </si>
  <si>
    <t>Voor de eerste vijf jaar</t>
  </si>
  <si>
    <t xml:space="preserve">
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</si>
</sst>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#,##0.0"/>
    <numFmt numFmtId="179" formatCode="0.0"/>
    <numFmt numFmtId="180" formatCode="_-[$€-2]\ * #,##0.00_-;_-[$€-2]\ * #,##0.00\-;_-[$€-2]\ * &quot;-&quot;??_-;_-@_-"/>
    <numFmt numFmtId="181" formatCode="_ [$€-2]\ * #,##0.00_ ;_ [$€-2]\ * \-#,##0.00_ ;_ [$€-2]\ * &quot;-&quot;??_ ;_ @_ 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80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49" fontId="9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49" fontId="4" fillId="33" borderId="0" xfId="0" applyNumberFormat="1" applyFont="1" applyFill="1" applyAlignment="1">
      <alignment/>
    </xf>
    <xf numFmtId="180" fontId="1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180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80" fontId="0" fillId="34" borderId="0" xfId="0" applyNumberFormat="1" applyFill="1" applyAlignment="1">
      <alignment/>
    </xf>
    <xf numFmtId="0" fontId="0" fillId="33" borderId="10" xfId="0" applyFill="1" applyBorder="1" applyAlignment="1">
      <alignment/>
    </xf>
    <xf numFmtId="180" fontId="0" fillId="34" borderId="1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ont="1" applyFill="1" applyBorder="1" applyAlignment="1">
      <alignment/>
    </xf>
    <xf numFmtId="177" fontId="0" fillId="34" borderId="10" xfId="0" applyNumberFormat="1" applyFill="1" applyBorder="1" applyAlignment="1">
      <alignment/>
    </xf>
    <xf numFmtId="0" fontId="12" fillId="33" borderId="0" xfId="0" applyFont="1" applyFill="1" applyAlignment="1">
      <alignment/>
    </xf>
    <xf numFmtId="9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3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180" fontId="1" fillId="34" borderId="0" xfId="0" applyNumberFormat="1" applyFont="1" applyFill="1" applyAlignment="1">
      <alignment/>
    </xf>
    <xf numFmtId="0" fontId="1" fillId="34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180" fontId="1" fillId="34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80" fontId="4" fillId="34" borderId="0" xfId="0" applyNumberFormat="1" applyFont="1" applyFill="1" applyAlignment="1">
      <alignment/>
    </xf>
    <xf numFmtId="10" fontId="0" fillId="33" borderId="0" xfId="0" applyNumberFormat="1" applyFont="1" applyFill="1" applyAlignment="1">
      <alignment/>
    </xf>
    <xf numFmtId="10" fontId="0" fillId="33" borderId="0" xfId="0" applyNumberFormat="1" applyFill="1" applyAlignment="1">
      <alignment/>
    </xf>
    <xf numFmtId="9" fontId="0" fillId="33" borderId="0" xfId="0" applyNumberFormat="1" applyFont="1" applyFill="1" applyAlignment="1">
      <alignment/>
    </xf>
    <xf numFmtId="180" fontId="10" fillId="33" borderId="0" xfId="0" applyNumberFormat="1" applyFont="1" applyFill="1" applyAlignment="1">
      <alignment/>
    </xf>
    <xf numFmtId="180" fontId="5" fillId="34" borderId="0" xfId="0" applyNumberFormat="1" applyFont="1" applyFill="1" applyAlignment="1">
      <alignment/>
    </xf>
    <xf numFmtId="180" fontId="9" fillId="34" borderId="0" xfId="0" applyNumberFormat="1" applyFont="1" applyFill="1" applyAlignment="1">
      <alignment/>
    </xf>
    <xf numFmtId="0" fontId="1" fillId="34" borderId="0" xfId="0" applyNumberFormat="1" applyFont="1" applyFill="1" applyAlignment="1">
      <alignment horizontal="center"/>
    </xf>
    <xf numFmtId="180" fontId="0" fillId="34" borderId="0" xfId="0" applyNumberFormat="1" applyFont="1" applyFill="1" applyAlignment="1">
      <alignment/>
    </xf>
    <xf numFmtId="10" fontId="0" fillId="34" borderId="0" xfId="0" applyNumberFormat="1" applyFill="1" applyAlignment="1">
      <alignment/>
    </xf>
    <xf numFmtId="0" fontId="11" fillId="33" borderId="0" xfId="0" applyFont="1" applyFill="1" applyAlignment="1">
      <alignment/>
    </xf>
    <xf numFmtId="0" fontId="0" fillId="34" borderId="0" xfId="0" applyFill="1" applyAlignment="1">
      <alignment horizontal="right"/>
    </xf>
    <xf numFmtId="180" fontId="0" fillId="34" borderId="0" xfId="0" applyNumberFormat="1" applyFill="1" applyAlignment="1">
      <alignment horizontal="right"/>
    </xf>
    <xf numFmtId="0" fontId="2" fillId="0" borderId="0" xfId="0" applyFont="1" applyFill="1" applyAlignment="1" applyProtection="1">
      <alignment/>
      <protection locked="0"/>
    </xf>
    <xf numFmtId="180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180" fontId="2" fillId="0" borderId="0" xfId="0" applyNumberFormat="1" applyFont="1" applyAlignment="1" applyProtection="1">
      <alignment/>
      <protection locked="0"/>
    </xf>
    <xf numFmtId="177" fontId="2" fillId="0" borderId="0" xfId="0" applyNumberFormat="1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/>
    </xf>
    <xf numFmtId="180" fontId="0" fillId="33" borderId="0" xfId="0" applyNumberFormat="1" applyFill="1" applyBorder="1" applyAlignment="1">
      <alignment/>
    </xf>
    <xf numFmtId="177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2">
    <dxf>
      <font>
        <color indexed="10"/>
      </font>
    </dxf>
    <dxf>
      <font>
        <color indexed="10"/>
      </font>
      <fill>
        <patternFill patternType="solid"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28575</xdr:rowOff>
    </xdr:from>
    <xdr:to>
      <xdr:col>1</xdr:col>
      <xdr:colOff>1533525</xdr:colOff>
      <xdr:row>4</xdr:row>
      <xdr:rowOff>104775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1419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2257425</xdr:colOff>
      <xdr:row>1</xdr:row>
      <xdr:rowOff>0</xdr:rowOff>
    </xdr:from>
    <xdr:to>
      <xdr:col>1</xdr:col>
      <xdr:colOff>4362450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161925"/>
          <a:ext cx="2105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4686300</xdr:colOff>
      <xdr:row>1</xdr:row>
      <xdr:rowOff>123825</xdr:rowOff>
    </xdr:from>
    <xdr:to>
      <xdr:col>1</xdr:col>
      <xdr:colOff>7210425</xdr:colOff>
      <xdr:row>5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285750"/>
          <a:ext cx="2524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B1">
      <selection activeCell="B29" sqref="B29"/>
    </sheetView>
  </sheetViews>
  <sheetFormatPr defaultColWidth="9.140625" defaultRowHeight="12.75"/>
  <cols>
    <col min="1" max="1" width="2.421875" style="0" customWidth="1"/>
    <col min="2" max="2" width="115.7109375" style="0" bestFit="1" customWidth="1"/>
  </cols>
  <sheetData>
    <row r="1" spans="1:2" ht="12.75">
      <c r="A1" s="12"/>
      <c r="B1" s="60" t="s">
        <v>120</v>
      </c>
    </row>
    <row r="2" spans="1:2" ht="12.75">
      <c r="A2" s="12"/>
      <c r="B2" s="61"/>
    </row>
    <row r="3" spans="1:2" ht="12.75">
      <c r="A3" s="12"/>
      <c r="B3" s="61"/>
    </row>
    <row r="4" spans="1:2" ht="12.75">
      <c r="A4" s="12"/>
      <c r="B4" s="61"/>
    </row>
    <row r="5" spans="1:2" ht="12.75">
      <c r="A5" s="12"/>
      <c r="B5" s="61"/>
    </row>
    <row r="6" spans="1:2" ht="12.75">
      <c r="A6" s="12"/>
      <c r="B6" s="61"/>
    </row>
    <row r="7" spans="1:2" ht="12.75">
      <c r="A7" s="12"/>
      <c r="B7" s="61"/>
    </row>
    <row r="8" spans="1:2" ht="15.75">
      <c r="A8" s="12"/>
      <c r="B8" s="11" t="s">
        <v>84</v>
      </c>
    </row>
    <row r="9" spans="1:2" ht="12.75">
      <c r="A9" s="12"/>
      <c r="B9" s="12" t="s">
        <v>113</v>
      </c>
    </row>
    <row r="10" spans="1:2" ht="12.75">
      <c r="A10" s="12"/>
      <c r="B10" s="12" t="s">
        <v>89</v>
      </c>
    </row>
    <row r="11" spans="1:2" ht="12.75">
      <c r="A11" s="12"/>
      <c r="B11" s="12"/>
    </row>
    <row r="12" spans="1:2" ht="12.75">
      <c r="A12" s="12"/>
      <c r="B12" s="13" t="s">
        <v>65</v>
      </c>
    </row>
    <row r="13" spans="1:2" ht="12.75">
      <c r="A13" s="12"/>
      <c r="B13" s="14" t="s">
        <v>85</v>
      </c>
    </row>
    <row r="14" spans="1:2" ht="12.75">
      <c r="A14" s="12"/>
      <c r="B14" s="13" t="s">
        <v>86</v>
      </c>
    </row>
    <row r="15" spans="1:2" ht="12.75">
      <c r="A15" s="12"/>
      <c r="B15" s="12"/>
    </row>
    <row r="16" spans="1:2" ht="12.75">
      <c r="A16" s="12"/>
      <c r="B16" s="15" t="s">
        <v>58</v>
      </c>
    </row>
    <row r="17" spans="1:2" ht="12.75">
      <c r="A17" s="12"/>
      <c r="B17" s="12" t="s">
        <v>92</v>
      </c>
    </row>
    <row r="18" spans="1:2" ht="12.75">
      <c r="A18" s="12"/>
      <c r="B18" s="12" t="s">
        <v>87</v>
      </c>
    </row>
    <row r="19" spans="1:2" ht="12.75">
      <c r="A19" s="12"/>
      <c r="B19" s="12" t="s">
        <v>59</v>
      </c>
    </row>
    <row r="20" spans="1:2" ht="12.75">
      <c r="A20" s="12"/>
      <c r="B20" s="12" t="s">
        <v>93</v>
      </c>
    </row>
    <row r="21" spans="1:2" ht="12.75">
      <c r="A21" s="12"/>
      <c r="B21" s="12" t="s">
        <v>94</v>
      </c>
    </row>
    <row r="22" spans="1:2" ht="12.75">
      <c r="A22" s="12"/>
      <c r="B22" s="12" t="s">
        <v>114</v>
      </c>
    </row>
    <row r="23" spans="1:2" ht="12.75">
      <c r="A23" s="12"/>
      <c r="B23" s="12" t="s">
        <v>95</v>
      </c>
    </row>
    <row r="24" spans="1:2" ht="12.75">
      <c r="A24" s="12"/>
      <c r="B24" s="12"/>
    </row>
    <row r="25" spans="1:2" ht="12.75">
      <c r="A25" s="12"/>
      <c r="B25" s="15" t="s">
        <v>88</v>
      </c>
    </row>
    <row r="26" spans="1:2" ht="12.75">
      <c r="A26" s="12"/>
      <c r="B26" s="12" t="s">
        <v>115</v>
      </c>
    </row>
    <row r="27" spans="1:2" ht="12.75">
      <c r="A27" s="12"/>
      <c r="B27" s="16"/>
    </row>
    <row r="28" spans="1:2" ht="12.75">
      <c r="A28" s="12"/>
      <c r="B28" s="12"/>
    </row>
    <row r="29" spans="1:2" ht="12.75">
      <c r="A29" s="12"/>
      <c r="B29" s="12"/>
    </row>
  </sheetData>
  <sheetProtection/>
  <mergeCells count="1">
    <mergeCell ref="B1:B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9">
      <selection activeCell="D14" sqref="D14"/>
    </sheetView>
  </sheetViews>
  <sheetFormatPr defaultColWidth="9.140625" defaultRowHeight="12.75"/>
  <cols>
    <col min="1" max="1" width="29.57421875" style="0" customWidth="1"/>
    <col min="2" max="2" width="8.28125" style="0" customWidth="1"/>
    <col min="3" max="3" width="22.57421875" style="0" customWidth="1"/>
    <col min="4" max="4" width="21.140625" style="0" customWidth="1"/>
    <col min="5" max="5" width="17.140625" style="0" customWidth="1"/>
    <col min="6" max="6" width="5.28125" style="0" customWidth="1"/>
    <col min="7" max="7" width="14.421875" style="0" customWidth="1"/>
  </cols>
  <sheetData>
    <row r="1" spans="1:5" ht="15.75">
      <c r="A1" s="11" t="s">
        <v>49</v>
      </c>
      <c r="B1" s="12"/>
      <c r="C1" s="12"/>
      <c r="D1" s="12"/>
      <c r="E1" s="12"/>
    </row>
    <row r="2" spans="1:5" ht="12.75">
      <c r="A2" s="35" t="s">
        <v>96</v>
      </c>
      <c r="B2" s="12"/>
      <c r="C2" s="12"/>
      <c r="D2" s="12"/>
      <c r="E2" s="12"/>
    </row>
    <row r="3" spans="1:5" ht="12.75">
      <c r="A3" s="35"/>
      <c r="B3" s="12"/>
      <c r="C3" s="12"/>
      <c r="D3" s="12"/>
      <c r="E3" s="12"/>
    </row>
    <row r="4" spans="1:5" ht="12.75">
      <c r="A4" s="37" t="s">
        <v>109</v>
      </c>
      <c r="B4" s="12"/>
      <c r="C4" s="52" t="s">
        <v>109</v>
      </c>
      <c r="D4" s="12"/>
      <c r="E4" s="12"/>
    </row>
    <row r="5" spans="1:5" ht="12.75">
      <c r="A5" s="12"/>
      <c r="B5" s="12"/>
      <c r="C5" s="12"/>
      <c r="D5" s="12"/>
      <c r="E5" s="12"/>
    </row>
    <row r="6" spans="1:5" ht="12.75">
      <c r="A6" s="12" t="s">
        <v>41</v>
      </c>
      <c r="B6" s="29">
        <v>1</v>
      </c>
      <c r="C6" s="53">
        <v>4000</v>
      </c>
      <c r="D6" s="21"/>
      <c r="E6" s="21"/>
    </row>
    <row r="7" spans="1:5" ht="12.75">
      <c r="A7" s="12" t="s">
        <v>42</v>
      </c>
      <c r="B7" s="29">
        <v>0.75</v>
      </c>
      <c r="C7" s="22">
        <f>SUM($C6)*B7</f>
        <v>3000</v>
      </c>
      <c r="D7" s="21"/>
      <c r="E7" s="21"/>
    </row>
    <row r="8" spans="1:5" ht="12.75">
      <c r="A8" s="12" t="s">
        <v>43</v>
      </c>
      <c r="B8" s="29">
        <v>0.65</v>
      </c>
      <c r="C8" s="22">
        <f>SUM($C6)*B8</f>
        <v>2600</v>
      </c>
      <c r="D8" s="21"/>
      <c r="E8" s="21"/>
    </row>
    <row r="9" spans="1:5" ht="12.75">
      <c r="A9" s="12" t="s">
        <v>44</v>
      </c>
      <c r="B9" s="29">
        <v>0.6</v>
      </c>
      <c r="C9" s="22">
        <f>SUM($C6)*B9</f>
        <v>2400</v>
      </c>
      <c r="D9" s="21"/>
      <c r="E9" s="21"/>
    </row>
    <row r="10" spans="1:5" ht="12.75">
      <c r="A10" s="12" t="s">
        <v>56</v>
      </c>
      <c r="B10" s="29">
        <v>0.75</v>
      </c>
      <c r="C10" s="22">
        <f>SUM($C6)*B10</f>
        <v>3000</v>
      </c>
      <c r="D10" s="31"/>
      <c r="E10" s="21"/>
    </row>
    <row r="11" spans="1:5" ht="12.75">
      <c r="A11" s="12" t="s">
        <v>97</v>
      </c>
      <c r="B11" s="29">
        <v>0.25</v>
      </c>
      <c r="C11" s="22">
        <f>SUM($C6)*B11</f>
        <v>1000</v>
      </c>
      <c r="D11" s="31"/>
      <c r="E11" s="21"/>
    </row>
    <row r="12" spans="1:5" ht="12.75">
      <c r="A12" s="12"/>
      <c r="B12" s="29"/>
      <c r="C12" s="22"/>
      <c r="D12" s="21"/>
      <c r="E12" s="21"/>
    </row>
    <row r="13" spans="1:5" ht="12.75">
      <c r="A13" s="12"/>
      <c r="B13" s="12"/>
      <c r="C13" s="51" t="s">
        <v>100</v>
      </c>
      <c r="D13" s="50" t="s">
        <v>101</v>
      </c>
      <c r="E13" s="32" t="s">
        <v>108</v>
      </c>
    </row>
    <row r="14" spans="1:5" ht="12.75">
      <c r="A14" s="12" t="s">
        <v>45</v>
      </c>
      <c r="B14" s="54">
        <v>5</v>
      </c>
      <c r="C14" s="22">
        <f aca="true" t="shared" si="0" ref="C14:C19">SUM(B14)*C6</f>
        <v>20000</v>
      </c>
      <c r="D14" s="22">
        <f aca="true" t="shared" si="1" ref="D14:D20">SUM(C14)-(C14*9/109)</f>
        <v>18348.623853211007</v>
      </c>
      <c r="E14" s="32">
        <f>SUM(B14)*7</f>
        <v>35</v>
      </c>
    </row>
    <row r="15" spans="1:5" ht="12.75">
      <c r="A15" s="12" t="s">
        <v>46</v>
      </c>
      <c r="B15" s="54">
        <v>5</v>
      </c>
      <c r="C15" s="22">
        <f t="shared" si="0"/>
        <v>15000</v>
      </c>
      <c r="D15" s="22">
        <f t="shared" si="1"/>
        <v>13761.467889908257</v>
      </c>
      <c r="E15" s="32">
        <f>SUM(B15)*5</f>
        <v>25</v>
      </c>
    </row>
    <row r="16" spans="1:5" ht="12.75">
      <c r="A16" s="12" t="s">
        <v>47</v>
      </c>
      <c r="B16" s="54">
        <v>5</v>
      </c>
      <c r="C16" s="22">
        <f t="shared" si="0"/>
        <v>13000</v>
      </c>
      <c r="D16" s="22">
        <f t="shared" si="1"/>
        <v>11926.605504587156</v>
      </c>
      <c r="E16" s="32">
        <f>SUM(B16)*5</f>
        <v>25</v>
      </c>
    </row>
    <row r="17" spans="1:5" ht="12.75">
      <c r="A17" s="12" t="s">
        <v>48</v>
      </c>
      <c r="B17" s="54">
        <v>10</v>
      </c>
      <c r="C17" s="22">
        <f t="shared" si="0"/>
        <v>24000</v>
      </c>
      <c r="D17" s="22">
        <f t="shared" si="1"/>
        <v>22018.34862385321</v>
      </c>
      <c r="E17" s="32">
        <f>SUM(B17)*2</f>
        <v>20</v>
      </c>
    </row>
    <row r="18" spans="1:5" ht="12.75">
      <c r="A18" s="12" t="s">
        <v>55</v>
      </c>
      <c r="B18" s="54">
        <v>5</v>
      </c>
      <c r="C18" s="22">
        <f t="shared" si="0"/>
        <v>15000</v>
      </c>
      <c r="D18" s="22">
        <f t="shared" si="1"/>
        <v>13761.467889908257</v>
      </c>
      <c r="E18" s="32">
        <f>SUM(B18)*4</f>
        <v>20</v>
      </c>
    </row>
    <row r="19" spans="1:5" ht="12.75">
      <c r="A19" s="12" t="s">
        <v>98</v>
      </c>
      <c r="B19" s="54">
        <v>5</v>
      </c>
      <c r="C19" s="22">
        <f t="shared" si="0"/>
        <v>5000</v>
      </c>
      <c r="D19" s="22">
        <f t="shared" si="1"/>
        <v>4587.155963302752</v>
      </c>
      <c r="E19" s="32">
        <f>SUM(B19)</f>
        <v>5</v>
      </c>
    </row>
    <row r="20" spans="1:5" ht="12.75">
      <c r="A20" s="15" t="s">
        <v>102</v>
      </c>
      <c r="B20" s="30"/>
      <c r="C20" s="33">
        <f>SUM(C14:C19)</f>
        <v>92000</v>
      </c>
      <c r="D20" s="33">
        <f t="shared" si="1"/>
        <v>84403.66972477065</v>
      </c>
      <c r="E20" s="34">
        <f>SUM(E14:E19)</f>
        <v>130</v>
      </c>
    </row>
    <row r="21" spans="1:5" ht="12.75">
      <c r="A21" s="19" t="s">
        <v>99</v>
      </c>
      <c r="B21" s="30"/>
      <c r="C21" s="53">
        <v>1000</v>
      </c>
      <c r="D21" s="22">
        <f>SUM(C21)-(C21*21/121)</f>
        <v>826.4462809917355</v>
      </c>
      <c r="E21" s="21"/>
    </row>
    <row r="22" spans="1:5" ht="12.75">
      <c r="A22" s="19" t="s">
        <v>14</v>
      </c>
      <c r="B22" s="30"/>
      <c r="C22" s="53">
        <v>1000</v>
      </c>
      <c r="D22" s="22">
        <f>SUM(C22)-(C22*21/121)</f>
        <v>826.4462809917355</v>
      </c>
      <c r="E22" s="21"/>
    </row>
    <row r="23" spans="1:5" ht="12.75">
      <c r="A23" s="15" t="s">
        <v>26</v>
      </c>
      <c r="B23" s="30"/>
      <c r="C23" s="33">
        <f>SUM(C20:C22)</f>
        <v>94000</v>
      </c>
      <c r="D23" s="36">
        <f>SUM(D20:D22)</f>
        <v>86056.56228675411</v>
      </c>
      <c r="E23" s="21"/>
    </row>
    <row r="24" spans="1:5" ht="12.75">
      <c r="A24" s="15"/>
      <c r="B24" s="30"/>
      <c r="C24" s="33"/>
      <c r="D24" s="34"/>
      <c r="E24" s="21"/>
    </row>
    <row r="25" spans="1:5" ht="12.75">
      <c r="A25" s="15"/>
      <c r="B25" s="12"/>
      <c r="C25" s="21"/>
      <c r="D25" s="34"/>
      <c r="E25" s="21"/>
    </row>
    <row r="26" spans="1:5" ht="12.75">
      <c r="A26" s="12"/>
      <c r="B26" s="12"/>
      <c r="C26" s="21"/>
      <c r="D26" s="34"/>
      <c r="E26" s="21"/>
    </row>
    <row r="27" ht="12.75">
      <c r="D27" s="6"/>
    </row>
    <row r="28" ht="12.75">
      <c r="D28" s="6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8">
      <selection activeCell="G12" sqref="G12"/>
    </sheetView>
  </sheetViews>
  <sheetFormatPr defaultColWidth="9.140625" defaultRowHeight="12.75"/>
  <cols>
    <col min="1" max="1" width="34.00390625" style="0" customWidth="1"/>
    <col min="2" max="2" width="12.00390625" style="0" customWidth="1"/>
    <col min="3" max="3" width="5.140625" style="0" customWidth="1"/>
    <col min="4" max="4" width="14.57421875" style="2" bestFit="1" customWidth="1"/>
    <col min="5" max="5" width="27.00390625" style="0" customWidth="1"/>
    <col min="6" max="6" width="14.28125" style="2" customWidth="1"/>
  </cols>
  <sheetData>
    <row r="1" spans="1:6" ht="15.75">
      <c r="A1" s="11" t="s">
        <v>22</v>
      </c>
      <c r="B1" s="11" t="str">
        <f>'1. omzetberekening'!C4</f>
        <v>naam schip</v>
      </c>
      <c r="C1" s="12"/>
      <c r="D1" s="20"/>
      <c r="E1" s="12"/>
      <c r="F1" s="20"/>
    </row>
    <row r="2" spans="1:6" ht="12.75">
      <c r="A2" s="13" t="s">
        <v>105</v>
      </c>
      <c r="B2" s="12"/>
      <c r="C2" s="12"/>
      <c r="D2" s="20"/>
      <c r="E2" s="12"/>
      <c r="F2" s="20"/>
    </row>
    <row r="3" spans="1:6" ht="12.75">
      <c r="A3" s="15"/>
      <c r="B3" s="12"/>
      <c r="C3" s="12"/>
      <c r="D3" s="20"/>
      <c r="E3" s="12"/>
      <c r="F3" s="20"/>
    </row>
    <row r="4" spans="1:6" ht="12.75">
      <c r="A4" s="19" t="s">
        <v>34</v>
      </c>
      <c r="B4" s="12"/>
      <c r="C4" s="12"/>
      <c r="D4" s="55">
        <v>250000</v>
      </c>
      <c r="E4" s="12"/>
      <c r="F4" s="22"/>
    </row>
    <row r="5" spans="1:6" ht="12.75">
      <c r="A5" s="19" t="s">
        <v>103</v>
      </c>
      <c r="B5" s="37"/>
      <c r="C5" s="12"/>
      <c r="D5" s="22">
        <v>1500</v>
      </c>
      <c r="E5" s="12"/>
      <c r="F5" s="22"/>
    </row>
    <row r="6" spans="1:6" ht="12.75">
      <c r="A6" s="19" t="s">
        <v>28</v>
      </c>
      <c r="B6" s="12"/>
      <c r="C6" s="12"/>
      <c r="D6" s="22">
        <v>750</v>
      </c>
      <c r="E6" s="12"/>
      <c r="F6" s="22"/>
    </row>
    <row r="7" spans="1:6" ht="12.75">
      <c r="A7" s="19" t="s">
        <v>74</v>
      </c>
      <c r="B7" s="12"/>
      <c r="C7" s="12"/>
      <c r="D7" s="22">
        <v>2500</v>
      </c>
      <c r="E7" s="38"/>
      <c r="F7" s="22"/>
    </row>
    <row r="8" spans="1:6" ht="12.75">
      <c r="A8" s="15" t="s">
        <v>29</v>
      </c>
      <c r="B8" s="12"/>
      <c r="C8" s="12"/>
      <c r="D8" s="33">
        <f>SUM(D4:D7)</f>
        <v>254750</v>
      </c>
      <c r="E8" s="12"/>
      <c r="F8" s="22"/>
    </row>
    <row r="9" spans="1:6" ht="12.75">
      <c r="A9" s="15"/>
      <c r="B9" s="12"/>
      <c r="C9" s="12"/>
      <c r="D9" s="22"/>
      <c r="E9" s="12"/>
      <c r="F9" s="22"/>
    </row>
    <row r="10" spans="1:6" ht="12.75">
      <c r="A10" s="12" t="s">
        <v>23</v>
      </c>
      <c r="B10" s="52">
        <v>60</v>
      </c>
      <c r="C10" s="12" t="s">
        <v>0</v>
      </c>
      <c r="D10" s="22">
        <f>SUM(D8)*B10%</f>
        <v>152850</v>
      </c>
      <c r="E10" s="12"/>
      <c r="F10" s="22"/>
    </row>
    <row r="11" spans="1:6" ht="12.75">
      <c r="A11" s="12" t="s">
        <v>24</v>
      </c>
      <c r="B11" s="57">
        <f>SUM(100-B10)</f>
        <v>40</v>
      </c>
      <c r="C11" s="12" t="s">
        <v>0</v>
      </c>
      <c r="D11" s="22">
        <f>SUM(D8)*B11%</f>
        <v>101900</v>
      </c>
      <c r="E11" s="12"/>
      <c r="F11" s="22"/>
    </row>
    <row r="12" spans="1:6" ht="12.75">
      <c r="A12" s="15"/>
      <c r="B12" s="12"/>
      <c r="C12" s="12"/>
      <c r="D12" s="22"/>
      <c r="E12" s="12"/>
      <c r="F12" s="22"/>
    </row>
    <row r="13" spans="1:6" ht="15.75">
      <c r="A13" s="11" t="s">
        <v>104</v>
      </c>
      <c r="B13" s="11"/>
      <c r="C13" s="12"/>
      <c r="D13" s="22"/>
      <c r="E13" s="12"/>
      <c r="F13" s="22"/>
    </row>
    <row r="14" spans="1:6" ht="12.75">
      <c r="A14" s="12"/>
      <c r="B14" s="12"/>
      <c r="C14" s="12"/>
      <c r="D14" s="22"/>
      <c r="E14" s="12"/>
      <c r="F14" s="22"/>
    </row>
    <row r="15" spans="1:6" s="1" customFormat="1" ht="12.75">
      <c r="A15" s="15" t="s">
        <v>75</v>
      </c>
      <c r="B15" s="15"/>
      <c r="C15" s="15"/>
      <c r="D15" s="33"/>
      <c r="E15" s="15" t="s">
        <v>12</v>
      </c>
      <c r="F15" s="33"/>
    </row>
    <row r="16" spans="1:7" ht="12.75">
      <c r="A16" s="19" t="s">
        <v>4</v>
      </c>
      <c r="B16" s="52">
        <v>20</v>
      </c>
      <c r="C16" s="12" t="s">
        <v>0</v>
      </c>
      <c r="D16" s="22">
        <f>SUM(F37)*B16%</f>
        <v>17211.31245735082</v>
      </c>
      <c r="E16" s="12" t="s">
        <v>15</v>
      </c>
      <c r="F16" s="39">
        <f>'1. omzetberekening'!D20</f>
        <v>84403.66972477065</v>
      </c>
      <c r="G16" s="8"/>
    </row>
    <row r="17" spans="1:7" ht="12.75">
      <c r="A17" s="19" t="s">
        <v>21</v>
      </c>
      <c r="B17" s="12">
        <v>40</v>
      </c>
      <c r="C17" s="12" t="s">
        <v>0</v>
      </c>
      <c r="D17" s="22">
        <f>SUM(F17)*B17%</f>
        <v>330.57851239669424</v>
      </c>
      <c r="E17" s="12" t="s">
        <v>13</v>
      </c>
      <c r="F17" s="39">
        <f>SUM('1. omzetberekening'!D21)</f>
        <v>826.4462809917355</v>
      </c>
      <c r="G17" s="8"/>
    </row>
    <row r="18" spans="1:7" ht="12.75">
      <c r="A18" s="19" t="s">
        <v>106</v>
      </c>
      <c r="B18" s="12">
        <v>2.5</v>
      </c>
      <c r="C18" s="12" t="s">
        <v>0</v>
      </c>
      <c r="D18" s="22">
        <f>SUM(D4)*B18%</f>
        <v>6250</v>
      </c>
      <c r="E18" s="12" t="s">
        <v>14</v>
      </c>
      <c r="F18" s="22">
        <f>'1. omzetberekening'!D22</f>
        <v>826.4462809917355</v>
      </c>
      <c r="G18" s="8"/>
    </row>
    <row r="19" spans="1:6" ht="12.75">
      <c r="A19" s="37" t="s">
        <v>50</v>
      </c>
      <c r="B19" s="37">
        <v>5</v>
      </c>
      <c r="C19" s="37" t="s">
        <v>0</v>
      </c>
      <c r="D19" s="39">
        <f>SUM(D5,D6,D7)*B19%</f>
        <v>237.5</v>
      </c>
      <c r="E19" s="20"/>
      <c r="F19" s="22"/>
    </row>
    <row r="20" spans="1:6" ht="12.75">
      <c r="A20" s="19" t="s">
        <v>16</v>
      </c>
      <c r="B20" s="12">
        <v>10</v>
      </c>
      <c r="C20" s="12" t="s">
        <v>0</v>
      </c>
      <c r="D20" s="22">
        <f>SUM(F37)*B20%</f>
        <v>8605.65622867541</v>
      </c>
      <c r="E20" s="12"/>
      <c r="F20" s="22"/>
    </row>
    <row r="21" spans="1:6" ht="12.75">
      <c r="A21" s="19" t="s">
        <v>52</v>
      </c>
      <c r="B21" s="12">
        <v>0.25</v>
      </c>
      <c r="C21" s="12" t="s">
        <v>0</v>
      </c>
      <c r="D21" s="39">
        <f>SUM($F37)*B21%</f>
        <v>215.1414057168853</v>
      </c>
      <c r="E21" s="12"/>
      <c r="F21" s="22"/>
    </row>
    <row r="22" spans="1:6" ht="12.75">
      <c r="A22" s="19" t="s">
        <v>60</v>
      </c>
      <c r="B22" s="56">
        <v>1500</v>
      </c>
      <c r="C22" s="12" t="s">
        <v>20</v>
      </c>
      <c r="D22" s="22">
        <f>SUM(B22/21)*'1. omzetberekening'!E20</f>
        <v>9285.714285714286</v>
      </c>
      <c r="E22" s="12"/>
      <c r="F22" s="22"/>
    </row>
    <row r="23" spans="1:6" ht="12.75">
      <c r="A23" s="19" t="s">
        <v>61</v>
      </c>
      <c r="B23" s="56">
        <v>0</v>
      </c>
      <c r="C23" s="12" t="s">
        <v>20</v>
      </c>
      <c r="D23" s="22">
        <f>SUM(B23/21)*'1. omzetberekening'!E20</f>
        <v>0</v>
      </c>
      <c r="E23" s="12"/>
      <c r="F23" s="22"/>
    </row>
    <row r="24" spans="1:6" ht="12.75">
      <c r="A24" s="19" t="s">
        <v>5</v>
      </c>
      <c r="B24" s="12">
        <v>1</v>
      </c>
      <c r="C24" s="12" t="s">
        <v>0</v>
      </c>
      <c r="D24" s="22">
        <f>SUM(F37)*B24%</f>
        <v>860.5656228675412</v>
      </c>
      <c r="E24" s="12"/>
      <c r="F24" s="22"/>
    </row>
    <row r="25" spans="1:6" ht="12.75">
      <c r="A25" s="37" t="s">
        <v>6</v>
      </c>
      <c r="B25" s="37">
        <v>3</v>
      </c>
      <c r="C25" s="37" t="s">
        <v>0</v>
      </c>
      <c r="D25" s="39">
        <f>SUM(F37)*B25%</f>
        <v>2581.696868602623</v>
      </c>
      <c r="E25" s="12"/>
      <c r="F25" s="22"/>
    </row>
    <row r="26" spans="1:6" ht="12.75">
      <c r="A26" s="37" t="s">
        <v>64</v>
      </c>
      <c r="B26" s="37">
        <v>1</v>
      </c>
      <c r="C26" s="37" t="s">
        <v>0</v>
      </c>
      <c r="D26" s="39">
        <f>SUM($F37)*B26%</f>
        <v>860.5656228675412</v>
      </c>
      <c r="E26" s="12"/>
      <c r="F26" s="22"/>
    </row>
    <row r="27" spans="1:6" ht="12.75">
      <c r="A27" s="37" t="s">
        <v>53</v>
      </c>
      <c r="B27" s="37">
        <v>0.5</v>
      </c>
      <c r="C27" s="37" t="s">
        <v>0</v>
      </c>
      <c r="D27" s="39">
        <f>SUM(F37)*B27%</f>
        <v>430.2828114337706</v>
      </c>
      <c r="E27" s="12"/>
      <c r="F27" s="22"/>
    </row>
    <row r="28" spans="1:6" ht="12.75">
      <c r="A28" s="37" t="s">
        <v>7</v>
      </c>
      <c r="B28" s="37">
        <v>2</v>
      </c>
      <c r="C28" s="37" t="s">
        <v>0</v>
      </c>
      <c r="D28" s="39">
        <f>SUM(F37)*B28%</f>
        <v>1721.1312457350823</v>
      </c>
      <c r="E28" s="12"/>
      <c r="F28" s="22"/>
    </row>
    <row r="29" spans="1:6" ht="12.75">
      <c r="A29" s="37" t="s">
        <v>57</v>
      </c>
      <c r="B29" s="37">
        <v>1.5</v>
      </c>
      <c r="C29" s="37" t="s">
        <v>0</v>
      </c>
      <c r="D29" s="39">
        <f>SUM(D4)*B29%</f>
        <v>3750</v>
      </c>
      <c r="E29" s="12"/>
      <c r="F29" s="22"/>
    </row>
    <row r="30" spans="1:6" ht="12.75">
      <c r="A30" s="37" t="s">
        <v>51</v>
      </c>
      <c r="B30" s="37">
        <v>1.5</v>
      </c>
      <c r="C30" s="37" t="s">
        <v>0</v>
      </c>
      <c r="D30" s="39">
        <f>SUM(F37)*B30%</f>
        <v>1290.8484343013115</v>
      </c>
      <c r="E30" s="12"/>
      <c r="F30" s="22"/>
    </row>
    <row r="31" spans="1:6" ht="12.75">
      <c r="A31" s="37" t="s">
        <v>17</v>
      </c>
      <c r="B31" s="37">
        <v>5</v>
      </c>
      <c r="C31" s="37" t="s">
        <v>0</v>
      </c>
      <c r="D31" s="39">
        <f>SUM(F37)*B31%</f>
        <v>4302.828114337705</v>
      </c>
      <c r="E31" s="12"/>
      <c r="F31" s="22"/>
    </row>
    <row r="32" spans="1:6" ht="12.75">
      <c r="A32" s="37" t="s">
        <v>18</v>
      </c>
      <c r="B32" s="37">
        <v>1</v>
      </c>
      <c r="C32" s="37" t="s">
        <v>0</v>
      </c>
      <c r="D32" s="39">
        <f>SUM(F37)*B32%</f>
        <v>860.5656228675412</v>
      </c>
      <c r="E32" s="12"/>
      <c r="F32" s="22"/>
    </row>
    <row r="33" spans="1:6" ht="12.75">
      <c r="A33" s="37" t="s">
        <v>62</v>
      </c>
      <c r="B33" s="37">
        <v>1</v>
      </c>
      <c r="C33" s="37" t="s">
        <v>0</v>
      </c>
      <c r="D33" s="39">
        <f>SUM(F37)*B33%</f>
        <v>860.5656228675412</v>
      </c>
      <c r="E33" s="12"/>
      <c r="F33" s="22"/>
    </row>
    <row r="34" spans="1:6" ht="12.75">
      <c r="A34" s="37" t="s">
        <v>63</v>
      </c>
      <c r="B34" s="37"/>
      <c r="C34" s="37"/>
      <c r="D34" s="39">
        <v>600</v>
      </c>
      <c r="E34" s="12"/>
      <c r="F34" s="22"/>
    </row>
    <row r="35" spans="1:6" ht="12.75">
      <c r="A35" s="37" t="s">
        <v>8</v>
      </c>
      <c r="B35" s="37">
        <v>2</v>
      </c>
      <c r="C35" s="37" t="s">
        <v>0</v>
      </c>
      <c r="D35" s="39">
        <f>SUM(F37)*B35%</f>
        <v>1721.1312457350823</v>
      </c>
      <c r="E35" s="12"/>
      <c r="F35" s="22"/>
    </row>
    <row r="36" spans="1:6" ht="12.75">
      <c r="A36" s="19"/>
      <c r="B36" s="12"/>
      <c r="C36" s="12"/>
      <c r="D36" s="22"/>
      <c r="E36" s="12"/>
      <c r="F36" s="22"/>
    </row>
    <row r="37" spans="1:6" ht="12.75">
      <c r="A37" s="15" t="s">
        <v>9</v>
      </c>
      <c r="B37" s="12"/>
      <c r="C37" s="12"/>
      <c r="D37" s="22">
        <f>SUM(D16:D36)</f>
        <v>61976.08410146984</v>
      </c>
      <c r="E37" s="15" t="s">
        <v>27</v>
      </c>
      <c r="F37" s="22">
        <f>SUM(F16:F36)</f>
        <v>86056.56228675411</v>
      </c>
    </row>
    <row r="38" spans="1:6" ht="12.75">
      <c r="A38" s="12"/>
      <c r="B38" s="12"/>
      <c r="C38" s="12"/>
      <c r="D38" s="22"/>
      <c r="E38" s="12"/>
      <c r="F38" s="22"/>
    </row>
    <row r="39" spans="1:6" ht="12.75">
      <c r="A39" s="15" t="s">
        <v>107</v>
      </c>
      <c r="B39" s="12"/>
      <c r="C39" s="12"/>
      <c r="D39" s="22">
        <f>SUM(F37)-D37</f>
        <v>24080.47818528427</v>
      </c>
      <c r="E39" s="12"/>
      <c r="F39" s="22"/>
    </row>
    <row r="40" spans="1:6" ht="12.75">
      <c r="A40" s="12"/>
      <c r="B40" s="12"/>
      <c r="C40" s="12"/>
      <c r="D40" s="22"/>
      <c r="E40" s="12"/>
      <c r="F40" s="22"/>
    </row>
    <row r="41" spans="1:6" ht="12.75">
      <c r="A41" s="12"/>
      <c r="B41" s="12"/>
      <c r="C41" s="12"/>
      <c r="D41" s="22"/>
      <c r="E41" s="12"/>
      <c r="F41" s="22"/>
    </row>
    <row r="45" ht="12.75">
      <c r="A45" s="9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27.140625" style="0" customWidth="1"/>
    <col min="2" max="2" width="4.57421875" style="0" customWidth="1"/>
    <col min="3" max="3" width="4.421875" style="0" customWidth="1"/>
    <col min="4" max="4" width="14.57421875" style="2" customWidth="1"/>
    <col min="5" max="7" width="14.57421875" style="2" bestFit="1" customWidth="1"/>
    <col min="8" max="8" width="14.57421875" style="2" customWidth="1"/>
    <col min="9" max="19" width="11.8515625" style="2" bestFit="1" customWidth="1"/>
  </cols>
  <sheetData>
    <row r="1" spans="1:8" ht="15.75">
      <c r="A1" s="11" t="s">
        <v>31</v>
      </c>
      <c r="B1" s="12"/>
      <c r="C1" s="12"/>
      <c r="D1" s="43" t="str">
        <f>'1. omzetberekening'!C4</f>
        <v>naam schip</v>
      </c>
      <c r="E1" s="20"/>
      <c r="F1" s="20"/>
      <c r="G1" s="20"/>
      <c r="H1" s="20"/>
    </row>
    <row r="2" spans="1:8" ht="15.75">
      <c r="A2" s="49" t="s">
        <v>119</v>
      </c>
      <c r="B2" s="12"/>
      <c r="C2" s="12"/>
      <c r="D2" s="43"/>
      <c r="E2" s="20"/>
      <c r="F2" s="20"/>
      <c r="G2" s="20"/>
      <c r="H2" s="20"/>
    </row>
    <row r="3" spans="1:8" ht="12.75">
      <c r="A3" s="12"/>
      <c r="B3" s="12"/>
      <c r="C3" s="12"/>
      <c r="D3" s="20"/>
      <c r="E3" s="20"/>
      <c r="F3" s="20"/>
      <c r="G3" s="20"/>
      <c r="H3" s="20"/>
    </row>
    <row r="4" spans="1:8" ht="12.75">
      <c r="A4" s="12" t="s">
        <v>19</v>
      </c>
      <c r="B4" s="12"/>
      <c r="C4" s="12"/>
      <c r="D4" s="22">
        <f>'2. exploitatiebegroting'!D4</f>
        <v>250000</v>
      </c>
      <c r="E4" s="22"/>
      <c r="F4" s="22"/>
      <c r="G4" s="22"/>
      <c r="H4" s="22"/>
    </row>
    <row r="5" spans="1:8" ht="12.75">
      <c r="A5" s="12" t="s">
        <v>54</v>
      </c>
      <c r="B5" s="12"/>
      <c r="C5" s="12"/>
      <c r="D5" s="22">
        <f>SUM('2. exploitatiebegroting'!D5:D7)</f>
        <v>4750</v>
      </c>
      <c r="E5" s="22"/>
      <c r="F5" s="22"/>
      <c r="G5" s="22"/>
      <c r="H5" s="22"/>
    </row>
    <row r="6" spans="1:8" ht="12.75">
      <c r="A6" s="12" t="s">
        <v>23</v>
      </c>
      <c r="B6" s="12"/>
      <c r="C6" s="12"/>
      <c r="D6" s="22">
        <f>'2. exploitatiebegroting'!D10</f>
        <v>152850</v>
      </c>
      <c r="E6" s="22"/>
      <c r="F6" s="22"/>
      <c r="G6" s="22"/>
      <c r="H6" s="22"/>
    </row>
    <row r="7" spans="1:8" ht="12.75">
      <c r="A7" s="12" t="s">
        <v>111</v>
      </c>
      <c r="B7" s="12"/>
      <c r="C7" s="12"/>
      <c r="D7" s="22">
        <f>'2. exploitatiebegroting'!D11</f>
        <v>101900</v>
      </c>
      <c r="E7" s="22"/>
      <c r="F7" s="22"/>
      <c r="G7" s="22"/>
      <c r="H7" s="22"/>
    </row>
    <row r="8" spans="1:8" ht="12.75">
      <c r="A8" s="12" t="s">
        <v>73</v>
      </c>
      <c r="B8" s="52">
        <v>10</v>
      </c>
      <c r="C8" s="12" t="s">
        <v>1</v>
      </c>
      <c r="D8" s="22"/>
      <c r="E8" s="44"/>
      <c r="F8" s="22"/>
      <c r="G8" s="22"/>
      <c r="H8" s="22"/>
    </row>
    <row r="9" spans="1:8" ht="12.75">
      <c r="A9" s="12" t="s">
        <v>25</v>
      </c>
      <c r="B9" s="52">
        <v>5</v>
      </c>
      <c r="C9" s="12" t="s">
        <v>0</v>
      </c>
      <c r="D9" s="22"/>
      <c r="E9" s="44"/>
      <c r="F9" s="22"/>
      <c r="G9" s="22"/>
      <c r="H9" s="22"/>
    </row>
    <row r="10" spans="1:8" ht="12.75">
      <c r="A10" s="19" t="s">
        <v>26</v>
      </c>
      <c r="B10" s="12"/>
      <c r="C10" s="12"/>
      <c r="D10" s="22">
        <f>'2. exploitatiebegroting'!F37</f>
        <v>86056.56228675411</v>
      </c>
      <c r="E10" s="22"/>
      <c r="F10" s="22"/>
      <c r="G10" s="22"/>
      <c r="H10" s="22"/>
    </row>
    <row r="11" spans="1:8" ht="12.75">
      <c r="A11" s="12" t="s">
        <v>110</v>
      </c>
      <c r="B11" s="12"/>
      <c r="C11" s="12"/>
      <c r="D11" s="22">
        <f>SUM('2. exploitatiebegroting'!D18:D19)</f>
        <v>6487.5</v>
      </c>
      <c r="E11" s="44"/>
      <c r="F11" s="44"/>
      <c r="G11" s="44"/>
      <c r="H11" s="22"/>
    </row>
    <row r="12" spans="1:8" ht="12.75">
      <c r="A12" s="12" t="s">
        <v>112</v>
      </c>
      <c r="B12" s="52">
        <v>2</v>
      </c>
      <c r="C12" s="12" t="s">
        <v>0</v>
      </c>
      <c r="D12" s="22"/>
      <c r="E12" s="45"/>
      <c r="F12" s="22"/>
      <c r="G12" s="22"/>
      <c r="H12" s="22"/>
    </row>
    <row r="13" spans="1:8" ht="12.75">
      <c r="A13" s="12"/>
      <c r="B13" s="12"/>
      <c r="C13" s="12"/>
      <c r="D13" s="22"/>
      <c r="E13" s="22"/>
      <c r="F13" s="22"/>
      <c r="G13" s="22"/>
      <c r="H13" s="22"/>
    </row>
    <row r="14" spans="1:19" ht="12.75">
      <c r="A14" s="15" t="s">
        <v>2</v>
      </c>
      <c r="B14" s="19"/>
      <c r="C14" s="12"/>
      <c r="D14" s="46">
        <v>1</v>
      </c>
      <c r="E14" s="46">
        <v>2</v>
      </c>
      <c r="F14" s="46">
        <v>3</v>
      </c>
      <c r="G14" s="46">
        <v>4</v>
      </c>
      <c r="H14" s="46">
        <v>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/>
    </row>
    <row r="15" spans="1:19" ht="12.75">
      <c r="A15" s="19" t="s">
        <v>3</v>
      </c>
      <c r="B15" s="19"/>
      <c r="C15" s="12"/>
      <c r="D15" s="47">
        <f>SUM(D6)</f>
        <v>152850</v>
      </c>
      <c r="E15" s="47">
        <f>+D15-($D15/$B8)</f>
        <v>137565</v>
      </c>
      <c r="F15" s="47">
        <f>+E15-($D15/$B8)</f>
        <v>122280</v>
      </c>
      <c r="G15" s="47">
        <f>+F15-($D15/$B8)</f>
        <v>106995</v>
      </c>
      <c r="H15" s="47">
        <f>+G15-($D15/$B8)</f>
        <v>91710</v>
      </c>
      <c r="I15" s="3"/>
      <c r="J15" s="3"/>
      <c r="K15" s="3"/>
      <c r="L15" s="3"/>
      <c r="M15" s="3"/>
      <c r="N15" s="3"/>
      <c r="O15" s="3"/>
      <c r="P15" s="7"/>
      <c r="Q15" s="7"/>
      <c r="R15" s="7"/>
      <c r="S15"/>
    </row>
    <row r="16" spans="1:19" ht="12.75">
      <c r="A16" s="12"/>
      <c r="B16" s="12"/>
      <c r="C16" s="12"/>
      <c r="D16" s="22"/>
      <c r="E16" s="22"/>
      <c r="F16" s="22"/>
      <c r="G16" s="22"/>
      <c r="H16" s="22"/>
      <c r="P16" s="7"/>
      <c r="Q16" s="7"/>
      <c r="R16" s="7"/>
      <c r="S16"/>
    </row>
    <row r="17" spans="1:19" ht="12.75">
      <c r="A17" s="19" t="s">
        <v>32</v>
      </c>
      <c r="B17" s="19"/>
      <c r="C17" s="12"/>
      <c r="D17" s="47">
        <f>'2. exploitatiebegroting'!$D39</f>
        <v>24080.47818528427</v>
      </c>
      <c r="E17" s="47">
        <f>SUM(D17/100*B12)+D17</f>
        <v>24562.087748989958</v>
      </c>
      <c r="F17" s="47">
        <f>SUM(E17/100*B12)+E17</f>
        <v>25053.329503969755</v>
      </c>
      <c r="G17" s="47">
        <f>SUM(F17/100*B12)+F17</f>
        <v>25554.39609404915</v>
      </c>
      <c r="H17" s="47">
        <f>SUM(G17/100*B12)+G17</f>
        <v>26065.48401593013</v>
      </c>
      <c r="I17" s="3"/>
      <c r="J17" s="3"/>
      <c r="K17" s="3"/>
      <c r="L17" s="3"/>
      <c r="M17" s="3"/>
      <c r="N17" s="3"/>
      <c r="O17" s="3"/>
      <c r="P17" s="7"/>
      <c r="Q17" s="7"/>
      <c r="R17" s="7"/>
      <c r="S17"/>
    </row>
    <row r="18" spans="1:19" ht="12.75">
      <c r="A18" s="19" t="s">
        <v>25</v>
      </c>
      <c r="B18" s="19"/>
      <c r="C18" s="12"/>
      <c r="D18" s="47">
        <f>SUM(D15)*$B9%</f>
        <v>7642.5</v>
      </c>
      <c r="E18" s="47">
        <f>SUM(E15)*$B9%</f>
        <v>6878.25</v>
      </c>
      <c r="F18" s="47">
        <f>SUM(F15)*$B9%</f>
        <v>6114</v>
      </c>
      <c r="G18" s="47">
        <f>SUM(G15)*$B9%</f>
        <v>5349.75</v>
      </c>
      <c r="H18" s="47">
        <f>SUM(H15)*$B9%</f>
        <v>4585.5</v>
      </c>
      <c r="I18" s="3"/>
      <c r="J18" s="3"/>
      <c r="K18" s="3"/>
      <c r="L18" s="3"/>
      <c r="M18" s="3"/>
      <c r="N18" s="3"/>
      <c r="O18" s="3"/>
      <c r="P18" s="7"/>
      <c r="Q18" s="7"/>
      <c r="R18" s="7"/>
      <c r="S18"/>
    </row>
    <row r="19" spans="1:19" ht="12.75">
      <c r="A19" s="19" t="s">
        <v>33</v>
      </c>
      <c r="B19" s="19"/>
      <c r="C19" s="12"/>
      <c r="D19" s="47">
        <f>SUM(D17)-D18</f>
        <v>16437.97818528427</v>
      </c>
      <c r="E19" s="47">
        <f>SUM(E17)-E18</f>
        <v>17683.837748989958</v>
      </c>
      <c r="F19" s="47">
        <f>SUM(F17)-F18</f>
        <v>18939.329503969755</v>
      </c>
      <c r="G19" s="47">
        <f>SUM(G17)-G18</f>
        <v>20204.64609404915</v>
      </c>
      <c r="H19" s="47">
        <f>SUM(H17)-H18</f>
        <v>21479.98401593013</v>
      </c>
      <c r="I19" s="3"/>
      <c r="J19" s="3"/>
      <c r="K19" s="3"/>
      <c r="L19" s="3"/>
      <c r="M19" s="3"/>
      <c r="N19" s="3"/>
      <c r="O19" s="3"/>
      <c r="P19" s="7"/>
      <c r="Q19" s="7"/>
      <c r="R19" s="7"/>
      <c r="S19"/>
    </row>
    <row r="20" spans="1:19" ht="12.75">
      <c r="A20" s="19"/>
      <c r="B20" s="19"/>
      <c r="C20" s="12"/>
      <c r="D20" s="47"/>
      <c r="E20" s="47"/>
      <c r="F20" s="47"/>
      <c r="G20" s="47"/>
      <c r="H20" s="47"/>
      <c r="I20" s="3"/>
      <c r="J20" s="3"/>
      <c r="K20" s="3"/>
      <c r="L20" s="3"/>
      <c r="M20" s="3"/>
      <c r="N20" s="3"/>
      <c r="O20" s="3"/>
      <c r="P20" s="7"/>
      <c r="Q20" s="7"/>
      <c r="R20" s="7"/>
      <c r="S20"/>
    </row>
    <row r="21" spans="1:19" ht="12.75">
      <c r="A21" s="19" t="s">
        <v>116</v>
      </c>
      <c r="B21" s="19"/>
      <c r="C21" s="12"/>
      <c r="D21" s="53">
        <v>20000</v>
      </c>
      <c r="E21" s="47">
        <f>+D21</f>
        <v>20000</v>
      </c>
      <c r="F21" s="47">
        <f>+E21</f>
        <v>20000</v>
      </c>
      <c r="G21" s="47">
        <f>+F21</f>
        <v>20000</v>
      </c>
      <c r="H21" s="47">
        <f>+G21</f>
        <v>20000</v>
      </c>
      <c r="I21" s="3"/>
      <c r="J21" s="3"/>
      <c r="K21" s="3"/>
      <c r="L21" s="3"/>
      <c r="M21" s="3"/>
      <c r="N21" s="3"/>
      <c r="O21" s="3"/>
      <c r="P21" s="7"/>
      <c r="Q21" s="7"/>
      <c r="R21" s="7"/>
      <c r="S21"/>
    </row>
    <row r="22" spans="1:19" ht="12.75">
      <c r="A22" s="19" t="s">
        <v>10</v>
      </c>
      <c r="B22" s="19"/>
      <c r="C22" s="12"/>
      <c r="D22" s="47">
        <f>SUM(D19)-D21</f>
        <v>-3562.0218147157284</v>
      </c>
      <c r="E22" s="47">
        <f>SUM(E19)-E21</f>
        <v>-2316.1622510100424</v>
      </c>
      <c r="F22" s="47">
        <f>SUM(F19)-F21</f>
        <v>-1060.670496030245</v>
      </c>
      <c r="G22" s="47">
        <f>SUM(G19)-G21</f>
        <v>204.64609404914881</v>
      </c>
      <c r="H22" s="47">
        <f>SUM(H19)-H21</f>
        <v>1479.9840159301311</v>
      </c>
      <c r="I22" s="3"/>
      <c r="J22" s="3"/>
      <c r="K22" s="3"/>
      <c r="L22" s="3"/>
      <c r="M22" s="3"/>
      <c r="N22" s="3"/>
      <c r="O22" s="3"/>
      <c r="P22" s="7"/>
      <c r="Q22" s="7"/>
      <c r="R22" s="7"/>
      <c r="S22"/>
    </row>
    <row r="23" spans="1:19" ht="12.75">
      <c r="A23" s="19" t="s">
        <v>11</v>
      </c>
      <c r="B23" s="19"/>
      <c r="C23" s="12"/>
      <c r="D23" s="47">
        <f>SUM(D6)/B8</f>
        <v>15285</v>
      </c>
      <c r="E23" s="47">
        <f>+D23</f>
        <v>15285</v>
      </c>
      <c r="F23" s="47">
        <f>+E23</f>
        <v>15285</v>
      </c>
      <c r="G23" s="47">
        <f>+F23</f>
        <v>15285</v>
      </c>
      <c r="H23" s="47">
        <f>+G23</f>
        <v>15285</v>
      </c>
      <c r="I23" s="3"/>
      <c r="J23" s="3"/>
      <c r="K23" s="3"/>
      <c r="L23" s="3"/>
      <c r="M23" s="3"/>
      <c r="N23" s="3"/>
      <c r="O23" s="3"/>
      <c r="P23" s="7"/>
      <c r="Q23" s="7"/>
      <c r="R23" s="7"/>
      <c r="S23"/>
    </row>
    <row r="24" spans="1:19" ht="12.75">
      <c r="A24" s="19" t="s">
        <v>117</v>
      </c>
      <c r="B24" s="19"/>
      <c r="C24" s="12"/>
      <c r="D24" s="47">
        <f>SUM(D22)-D23</f>
        <v>-18847.02181471573</v>
      </c>
      <c r="E24" s="47">
        <f>SUM(E22)-E23</f>
        <v>-17601.162251010042</v>
      </c>
      <c r="F24" s="47">
        <f>SUM(F22)-F23</f>
        <v>-16345.670496030245</v>
      </c>
      <c r="G24" s="47">
        <f>SUM(G22)-G23</f>
        <v>-15080.353905950851</v>
      </c>
      <c r="H24" s="47">
        <f>SUM(H22)-H23</f>
        <v>-13805.015984069869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/>
    </row>
    <row r="25" spans="1:19" ht="12.75">
      <c r="A25" s="13"/>
      <c r="B25" s="12"/>
      <c r="C25" s="12"/>
      <c r="D25" s="22"/>
      <c r="E25" s="22"/>
      <c r="F25" s="22"/>
      <c r="G25" s="22"/>
      <c r="H25" s="22"/>
      <c r="P25" s="7"/>
      <c r="Q25" s="7"/>
      <c r="R25" s="7"/>
      <c r="S25"/>
    </row>
    <row r="26" spans="1:18" s="5" customFormat="1" ht="12.75">
      <c r="A26" s="40" t="s">
        <v>118</v>
      </c>
      <c r="B26" s="41"/>
      <c r="C26" s="41"/>
      <c r="D26" s="48">
        <f>SUM(D18+D22)/($D4)</f>
        <v>0.016321912741137087</v>
      </c>
      <c r="E26" s="48">
        <f>SUM(E18+E22)/($D4)</f>
        <v>0.018248350995959832</v>
      </c>
      <c r="F26" s="48">
        <f>SUM(F18+F22)/($D4)</f>
        <v>0.02021331801587902</v>
      </c>
      <c r="G26" s="48">
        <f>SUM(G18+G22)/($D4)</f>
        <v>0.022217584376196597</v>
      </c>
      <c r="H26" s="48">
        <f>SUM(H18+H22)/($D4)</f>
        <v>0.024261936063720523</v>
      </c>
      <c r="P26" s="10"/>
      <c r="Q26" s="10"/>
      <c r="R26" s="10"/>
    </row>
    <row r="27" spans="1:18" s="5" customFormat="1" ht="12.75">
      <c r="A27" s="42" t="s">
        <v>30</v>
      </c>
      <c r="B27" s="41"/>
      <c r="C27" s="41"/>
      <c r="D27" s="48">
        <f>SUM(+D22)/$D7</f>
        <v>-0.03495605313754395</v>
      </c>
      <c r="E27" s="48">
        <f>SUM(+E22)/$D7</f>
        <v>-0.022729757124730545</v>
      </c>
      <c r="F27" s="48">
        <f>SUM(+F22)/$D7</f>
        <v>-0.010408935191660893</v>
      </c>
      <c r="G27" s="48">
        <f>SUM(+G22)/$D7</f>
        <v>0.0020083031800701553</v>
      </c>
      <c r="H27" s="48">
        <f>SUM(+H22)/$D7</f>
        <v>0.01452388631923583</v>
      </c>
      <c r="P27" s="10"/>
      <c r="Q27" s="10"/>
      <c r="R27" s="10"/>
    </row>
    <row r="28" spans="1:8" ht="12.75">
      <c r="A28" s="12"/>
      <c r="B28" s="12"/>
      <c r="C28" s="12"/>
      <c r="D28" s="22"/>
      <c r="E28" s="22"/>
      <c r="F28" s="22"/>
      <c r="G28" s="22"/>
      <c r="H28" s="22"/>
    </row>
    <row r="29" spans="1:8" ht="12.75">
      <c r="A29" s="12"/>
      <c r="B29" s="12"/>
      <c r="C29" s="12"/>
      <c r="D29" s="22"/>
      <c r="E29" s="22"/>
      <c r="F29" s="22"/>
      <c r="G29" s="22"/>
      <c r="H29" s="22"/>
    </row>
    <row r="30" ht="12.75">
      <c r="A30" s="9"/>
    </row>
    <row r="31" ht="12.75">
      <c r="A31" s="9"/>
    </row>
  </sheetData>
  <sheetProtection/>
  <conditionalFormatting sqref="D22:H22">
    <cfRule type="cellIs" priority="1" dxfId="1" operator="lessThan" stopIfTrue="1">
      <formula>0</formula>
    </cfRule>
  </conditionalFormatting>
  <conditionalFormatting sqref="D24:H24">
    <cfRule type="cellIs" priority="2" dxfId="0" operator="lessThan" stopIfTrue="1">
      <formula>0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9">
      <selection activeCell="C21" sqref="C21"/>
    </sheetView>
  </sheetViews>
  <sheetFormatPr defaultColWidth="9.140625" defaultRowHeight="12.75"/>
  <cols>
    <col min="1" max="1" width="3.00390625" style="0" customWidth="1"/>
    <col min="2" max="2" width="36.8515625" style="0" customWidth="1"/>
    <col min="3" max="3" width="13.57421875" style="0" customWidth="1"/>
    <col min="5" max="5" width="19.00390625" style="0" customWidth="1"/>
  </cols>
  <sheetData>
    <row r="1" spans="1:5" ht="15">
      <c r="A1" s="12"/>
      <c r="B1" s="28" t="s">
        <v>70</v>
      </c>
      <c r="C1" s="17"/>
      <c r="D1" s="12"/>
      <c r="E1" s="12"/>
    </row>
    <row r="2" spans="1:5" ht="12.75">
      <c r="A2" s="12"/>
      <c r="B2" s="13" t="s">
        <v>90</v>
      </c>
      <c r="C2" s="17"/>
      <c r="D2" s="12"/>
      <c r="E2" s="12"/>
    </row>
    <row r="3" spans="1:5" ht="12.75">
      <c r="A3" s="12"/>
      <c r="B3" s="13" t="s">
        <v>91</v>
      </c>
      <c r="C3" s="17"/>
      <c r="D3" s="12"/>
      <c r="E3" s="12"/>
    </row>
    <row r="4" spans="1:5" ht="12.75">
      <c r="A4" s="12"/>
      <c r="B4" s="13"/>
      <c r="C4" s="17"/>
      <c r="D4" s="12"/>
      <c r="E4" s="12"/>
    </row>
    <row r="5" spans="1:5" ht="12.75">
      <c r="A5" s="12"/>
      <c r="B5" s="13" t="s">
        <v>76</v>
      </c>
      <c r="C5" s="12"/>
      <c r="D5" s="12"/>
      <c r="E5" s="12"/>
    </row>
    <row r="6" spans="1:5" ht="12.75">
      <c r="A6" s="12"/>
      <c r="B6" s="18"/>
      <c r="C6" s="12"/>
      <c r="D6" s="12"/>
      <c r="E6" s="12"/>
    </row>
    <row r="7" spans="1:5" ht="12.75">
      <c r="A7" s="12"/>
      <c r="B7" s="12" t="s">
        <v>41</v>
      </c>
      <c r="C7" s="12"/>
      <c r="D7" s="12"/>
      <c r="E7" s="12"/>
    </row>
    <row r="8" spans="1:5" ht="12.75">
      <c r="A8" s="12"/>
      <c r="B8" s="23" t="s">
        <v>36</v>
      </c>
      <c r="C8" s="24">
        <v>2190</v>
      </c>
      <c r="D8" s="12"/>
      <c r="E8" s="12"/>
    </row>
    <row r="9" spans="1:5" ht="12.75">
      <c r="A9" s="12"/>
      <c r="B9" s="23" t="s">
        <v>37</v>
      </c>
      <c r="C9" s="24">
        <v>2970</v>
      </c>
      <c r="D9" s="12"/>
      <c r="E9" s="12"/>
    </row>
    <row r="10" spans="1:5" ht="12.75">
      <c r="A10" s="12"/>
      <c r="B10" s="23" t="s">
        <v>38</v>
      </c>
      <c r="C10" s="24">
        <v>4010</v>
      </c>
      <c r="D10" s="12"/>
      <c r="E10" s="12"/>
    </row>
    <row r="11" spans="1:5" ht="12.75">
      <c r="A11" s="12"/>
      <c r="B11" s="23" t="s">
        <v>39</v>
      </c>
      <c r="C11" s="24">
        <v>5170</v>
      </c>
      <c r="D11" s="12"/>
      <c r="E11" s="12"/>
    </row>
    <row r="12" spans="1:5" ht="12.75">
      <c r="A12" s="12"/>
      <c r="B12" s="23" t="s">
        <v>40</v>
      </c>
      <c r="C12" s="24">
        <v>6170</v>
      </c>
      <c r="D12" s="12"/>
      <c r="E12" s="12"/>
    </row>
    <row r="13" spans="1:5" ht="12.75">
      <c r="A13" s="12"/>
      <c r="B13" s="12"/>
      <c r="C13" s="12"/>
      <c r="D13" s="12"/>
      <c r="E13" s="12"/>
    </row>
    <row r="14" spans="1:5" ht="12.75">
      <c r="A14" s="12"/>
      <c r="B14" s="23" t="s">
        <v>35</v>
      </c>
      <c r="C14" s="24">
        <v>27.76</v>
      </c>
      <c r="D14" s="12"/>
      <c r="E14" s="12"/>
    </row>
    <row r="15" spans="1:5" ht="12.75">
      <c r="A15" s="12"/>
      <c r="B15" s="12"/>
      <c r="C15" s="20"/>
      <c r="D15" s="12"/>
      <c r="E15" s="12"/>
    </row>
    <row r="16" spans="1:5" ht="12.75">
      <c r="A16" s="12"/>
      <c r="B16" s="13" t="s">
        <v>77</v>
      </c>
      <c r="C16" s="20"/>
      <c r="D16" s="12"/>
      <c r="E16" s="12"/>
    </row>
    <row r="17" spans="1:5" ht="12.75">
      <c r="A17" s="12"/>
      <c r="B17" s="13"/>
      <c r="C17" s="20"/>
      <c r="D17" s="12"/>
      <c r="E17" s="12"/>
    </row>
    <row r="18" spans="1:5" ht="12.75">
      <c r="A18" s="12"/>
      <c r="B18" s="23" t="s">
        <v>78</v>
      </c>
      <c r="C18" s="24">
        <v>1780</v>
      </c>
      <c r="D18" s="12"/>
      <c r="E18" s="12"/>
    </row>
    <row r="19" spans="1:5" ht="12.75">
      <c r="A19" s="12"/>
      <c r="B19" s="25"/>
      <c r="C19" s="58"/>
      <c r="D19" s="12"/>
      <c r="E19" s="12"/>
    </row>
    <row r="20" spans="1:5" ht="12.75">
      <c r="A20" s="12"/>
      <c r="B20" s="23" t="s">
        <v>35</v>
      </c>
      <c r="C20" s="24">
        <v>34.63</v>
      </c>
      <c r="D20" s="12"/>
      <c r="E20" s="12"/>
    </row>
    <row r="21" spans="1:5" ht="12.75">
      <c r="A21" s="12"/>
      <c r="B21" s="12"/>
      <c r="C21" s="12"/>
      <c r="D21" s="12"/>
      <c r="E21" s="12"/>
    </row>
    <row r="22" spans="1:5" ht="12.75">
      <c r="A22" s="12"/>
      <c r="B22" s="13" t="s">
        <v>66</v>
      </c>
      <c r="C22" s="12"/>
      <c r="D22" s="12"/>
      <c r="E22" s="12"/>
    </row>
    <row r="23" spans="1:5" ht="12.75">
      <c r="A23" s="12"/>
      <c r="B23" s="18"/>
      <c r="C23" s="12"/>
      <c r="D23" s="12"/>
      <c r="E23" s="12"/>
    </row>
    <row r="24" spans="1:5" ht="12.75">
      <c r="A24" s="12"/>
      <c r="B24" s="12" t="s">
        <v>41</v>
      </c>
      <c r="C24" s="12"/>
      <c r="D24" s="12"/>
      <c r="E24" s="12"/>
    </row>
    <row r="25" spans="1:5" ht="12.75">
      <c r="A25" s="12"/>
      <c r="B25" s="23" t="s">
        <v>67</v>
      </c>
      <c r="C25" s="24">
        <v>3240</v>
      </c>
      <c r="D25" s="12"/>
      <c r="E25" s="12"/>
    </row>
    <row r="26" spans="1:5" ht="12.75">
      <c r="A26" s="12"/>
      <c r="B26" s="23" t="s">
        <v>68</v>
      </c>
      <c r="C26" s="24">
        <v>4720</v>
      </c>
      <c r="D26" s="12"/>
      <c r="E26" s="12"/>
    </row>
    <row r="27" spans="1:5" ht="12.75">
      <c r="A27" s="12"/>
      <c r="B27" s="23" t="s">
        <v>69</v>
      </c>
      <c r="C27" s="24">
        <v>6590</v>
      </c>
      <c r="D27" s="12"/>
      <c r="E27" s="12"/>
    </row>
    <row r="28" spans="1:5" ht="12.75">
      <c r="A28" s="12"/>
      <c r="B28" s="12"/>
      <c r="C28" s="12"/>
      <c r="D28" s="12"/>
      <c r="E28" s="12"/>
    </row>
    <row r="29" spans="1:5" ht="12.75">
      <c r="A29" s="12"/>
      <c r="B29" s="23" t="s">
        <v>35</v>
      </c>
      <c r="C29" s="24">
        <v>32.81</v>
      </c>
      <c r="D29" s="12"/>
      <c r="E29" s="12"/>
    </row>
    <row r="30" spans="1:5" ht="12.75">
      <c r="A30" s="12"/>
      <c r="B30" s="12"/>
      <c r="C30" s="12"/>
      <c r="D30" s="12"/>
      <c r="E30" s="12"/>
    </row>
    <row r="31" spans="1:5" ht="12.75">
      <c r="A31" s="12"/>
      <c r="B31" s="13" t="s">
        <v>71</v>
      </c>
      <c r="C31" s="12"/>
      <c r="D31" s="12"/>
      <c r="E31" s="12"/>
    </row>
    <row r="32" spans="1:5" ht="12.75">
      <c r="A32" s="12"/>
      <c r="B32" s="13" t="s">
        <v>72</v>
      </c>
      <c r="C32" s="12"/>
      <c r="D32" s="12"/>
      <c r="E32" s="12"/>
    </row>
    <row r="33" spans="1:5" ht="12.75">
      <c r="A33" s="12"/>
      <c r="B33" s="12"/>
      <c r="C33" s="12"/>
      <c r="D33" s="12"/>
      <c r="E33" s="12"/>
    </row>
    <row r="34" spans="1:5" ht="12.75">
      <c r="A34" s="12"/>
      <c r="B34" s="13" t="s">
        <v>79</v>
      </c>
      <c r="C34" s="12"/>
      <c r="D34" s="12"/>
      <c r="E34" s="12"/>
    </row>
    <row r="35" spans="1:5" ht="12.75">
      <c r="A35" s="12"/>
      <c r="B35" s="26" t="s">
        <v>80</v>
      </c>
      <c r="C35" s="27">
        <v>2916</v>
      </c>
      <c r="D35" s="12"/>
      <c r="E35" s="12"/>
    </row>
    <row r="36" spans="1:5" ht="12.75">
      <c r="A36" s="12"/>
      <c r="B36" s="19"/>
      <c r="C36" s="59"/>
      <c r="D36" s="12"/>
      <c r="E36" s="12"/>
    </row>
    <row r="37" spans="1:5" ht="12.75">
      <c r="A37" s="12"/>
      <c r="B37" s="23" t="s">
        <v>81</v>
      </c>
      <c r="C37" s="27">
        <v>19.93</v>
      </c>
      <c r="D37" s="12"/>
      <c r="E37" s="12"/>
    </row>
    <row r="38" spans="1:5" ht="12.75">
      <c r="A38" s="12"/>
      <c r="B38" s="13"/>
      <c r="C38" s="12"/>
      <c r="D38" s="12"/>
      <c r="E38" s="12"/>
    </row>
    <row r="39" spans="1:5" ht="12.75">
      <c r="A39" s="12"/>
      <c r="B39" s="13" t="s">
        <v>82</v>
      </c>
      <c r="C39" s="12"/>
      <c r="D39" s="12"/>
      <c r="E39" s="12"/>
    </row>
    <row r="40" spans="1:5" ht="12.75">
      <c r="A40" s="12"/>
      <c r="B40" s="26" t="s">
        <v>83</v>
      </c>
      <c r="C40" s="27">
        <v>8135</v>
      </c>
      <c r="D40" s="12"/>
      <c r="E40" s="12"/>
    </row>
    <row r="41" spans="1:5" ht="12.75">
      <c r="A41" s="12"/>
      <c r="B41" s="19"/>
      <c r="C41" s="59"/>
      <c r="D41" s="12"/>
      <c r="E41" s="12"/>
    </row>
    <row r="42" spans="1:5" ht="12.75">
      <c r="A42" s="12"/>
      <c r="B42" s="23" t="s">
        <v>81</v>
      </c>
      <c r="C42" s="27">
        <v>61.17</v>
      </c>
      <c r="D42" s="12"/>
      <c r="E42" s="12"/>
    </row>
    <row r="43" spans="1:5" ht="12.75">
      <c r="A43" s="12"/>
      <c r="B43" s="19"/>
      <c r="C43" s="59"/>
      <c r="D43" s="12"/>
      <c r="E43" s="1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Festina Lente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Jaap Baalbergen</dc:creator>
  <cp:keywords/>
  <dc:description/>
  <cp:lastModifiedBy>Brenda van den Broeke</cp:lastModifiedBy>
  <cp:lastPrinted>2005-02-10T15:08:00Z</cp:lastPrinted>
  <dcterms:created xsi:type="dcterms:W3CDTF">2004-08-20T09:55:24Z</dcterms:created>
  <dcterms:modified xsi:type="dcterms:W3CDTF">2024-01-12T14:41:20Z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2086092904</vt:i4>
  </property>
  <property fmtid="{D5CDD505-2E9C-101B-9397-08002B2CF9AE}" pid="3" name="_EmailSubject">
    <vt:lpwstr>exploitatieschema</vt:lpwstr>
  </property>
  <property fmtid="{D5CDD505-2E9C-101B-9397-08002B2CF9AE}" pid="4" name="_AuthorEmail">
    <vt:lpwstr>info@bbz-charter.nl</vt:lpwstr>
  </property>
  <property fmtid="{D5CDD505-2E9C-101B-9397-08002B2CF9AE}" pid="5" name="_AuthorEmailDisplayName">
    <vt:lpwstr>BBZ</vt:lpwstr>
  </property>
  <property fmtid="{D5CDD505-2E9C-101B-9397-08002B2CF9AE}" pid="6" name="_PreviousAdHocReviewCycleID">
    <vt:i4>1094628386</vt:i4>
  </property>
  <property fmtid="{D5CDD505-2E9C-101B-9397-08002B2CF9AE}" pid="7" name="_ReviewingToolsShownOnce">
    <vt:lpwstr/>
  </property>
  <property fmtid="{D5CDD505-2E9C-101B-9397-08002B2CF9AE}" pid="8" name="Auteur">
    <vt:lpwstr>Brenda</vt:lpwstr>
  </property>
</Properties>
</file>